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ichellemanion/Desktop/Accounting For Fitness/Business Partnerships/Profit First- Dan Hendersen/Pricing &amp; Packaging Presentation/"/>
    </mc:Choice>
  </mc:AlternateContent>
  <xr:revisionPtr revIDLastSave="0" documentId="13_ncr:1_{95A2173A-82D6-2B43-96CA-331F698ABBE1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tart Here" sheetId="1" r:id="rId1"/>
    <sheet name="Benchmarks" sheetId="2" r:id="rId2"/>
    <sheet name="Weekly Dashboard" sheetId="3" r:id="rId3"/>
    <sheet name="Pricing Calculator" sheetId="4" r:id="rId4"/>
    <sheet name="Offer Builder" sheetId="5" r:id="rId5"/>
    <sheet name="Package Profit Check" sheetId="6" r:id="rId6"/>
    <sheet name="Cash Buffer &amp; Owner Pay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8" i="3"/>
  <c r="E24" i="7"/>
  <c r="E25" i="7" s="1"/>
  <c r="E9" i="7"/>
  <c r="E26" i="7" s="1"/>
  <c r="E27" i="7" s="1"/>
  <c r="E8" i="7"/>
  <c r="E7" i="7"/>
  <c r="E6" i="7"/>
  <c r="E5" i="7"/>
  <c r="C14" i="6"/>
  <c r="D14" i="6" s="1"/>
  <c r="I12" i="5"/>
  <c r="J12" i="5" s="1"/>
  <c r="K12" i="5" s="1"/>
  <c r="L12" i="5" s="1"/>
  <c r="I11" i="5"/>
  <c r="J11" i="5" s="1"/>
  <c r="K11" i="5" s="1"/>
  <c r="L11" i="5" s="1"/>
  <c r="I10" i="5"/>
  <c r="J10" i="5" s="1"/>
  <c r="K10" i="5" s="1"/>
  <c r="L10" i="5" s="1"/>
  <c r="I5" i="5"/>
  <c r="F16" i="4"/>
  <c r="F13" i="4"/>
  <c r="F8" i="4"/>
  <c r="F7" i="4"/>
  <c r="F6" i="4"/>
  <c r="F5" i="4"/>
  <c r="F9" i="4" s="1"/>
  <c r="F7" i="3"/>
  <c r="F6" i="3"/>
  <c r="F10" i="4" l="1"/>
  <c r="F11" i="4" s="1"/>
  <c r="F14" i="4" l="1"/>
  <c r="F15" i="4" s="1"/>
  <c r="F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Sources</author>
  </authors>
  <commentList>
    <comment ref="C5" authorId="0" shapeId="0" xr:uid="{00000000-0006-0000-0100-000001000000}">
      <text>
        <r>
          <rPr>
            <sz val="11"/>
            <color rgb="FF000000"/>
            <rFont val="Calibri"/>
            <family val="2"/>
          </rPr>
          <t>Source examples: Beancount.io suggests labor 35–45% of revenue for studios (Jan 2026).</t>
        </r>
      </text>
    </comment>
    <comment ref="C6" authorId="0" shapeId="0" xr:uid="{00000000-0006-0000-0100-000002000000}">
      <text>
        <r>
          <rPr>
            <sz val="11"/>
            <color rgb="FF000000"/>
            <rFont val="Calibri"/>
            <family val="2"/>
          </rPr>
          <t>Source examples: Beancount.io suggests rent under ~15–20% of revenue (Jan 2026).</t>
        </r>
      </text>
    </comment>
    <comment ref="C7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Source examples: BDC suggests B2C businesses often spend 5–10% of revenue on marketing (rule of thumb).</t>
        </r>
      </text>
    </comment>
    <comment ref="C8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Source examples: Boutique studio margins 20–30%+ cited; traditional gyms 10–15% cited in industry overview articles.</t>
        </r>
      </text>
    </comment>
    <comment ref="C9" authorId="0" shapeId="0" xr:uid="{00000000-0006-0000-0100-000005000000}">
      <text>
        <r>
          <rPr>
            <sz val="11"/>
            <color rgb="FF000000"/>
            <rFont val="Calibri"/>
            <family val="2"/>
          </rPr>
          <t>Source examples: First Citizens Bank notes rule of thumb of 3–6 months operating expenses as cash reserve.</t>
        </r>
      </text>
    </comment>
  </commentList>
</comments>
</file>

<file path=xl/sharedStrings.xml><?xml version="1.0" encoding="utf-8"?>
<sst xmlns="http://schemas.openxmlformats.org/spreadsheetml/2006/main" count="180" uniqueCount="169">
  <si>
    <t>Profit‑First Pricing &amp; Packaging Toolkit (Gyms + PT Studios)</t>
  </si>
  <si>
    <t>Version: 2026-02-02  |  Designed for owners doing ~$500k–$1m revenue with simple, practical inputs. Use GST‑exclusive prices/revenue (excl. GST).</t>
  </si>
  <si>
    <t>How to use this workbook (15 minutes)</t>
  </si>
  <si>
    <t>1</t>
  </si>
  <si>
    <t>Benchmarks</t>
  </si>
  <si>
    <t>Use as a *starting point* to spot leaks (wages, rent, marketing, margin).</t>
  </si>
  <si>
    <t>2</t>
  </si>
  <si>
    <t>Weekly Dashboard</t>
  </si>
  <si>
    <t>Enter last week’s totals: revenue, wages, marketing spend, cash in bank. Get a simple Red/Yellow/Green view.</t>
  </si>
  <si>
    <t>3</t>
  </si>
  <si>
    <t>Pricing Calculator</t>
  </si>
  <si>
    <t>For one offer you sell today, enter price + delivery details. Check margin &amp; capacity.</t>
  </si>
  <si>
    <t>4</t>
  </si>
  <si>
    <t>Offer Builder</t>
  </si>
  <si>
    <t>Design Entry / Core / Premium packages *from a target margin first*.</t>
  </si>
  <si>
    <t>5</t>
  </si>
  <si>
    <t>Package Profit Check</t>
  </si>
  <si>
    <t>Quick checklist: if any item is ‘No’, your offer probably needs a tweak.</t>
  </si>
  <si>
    <t>Simple rules of thumb used in this workbook</t>
  </si>
  <si>
    <t>• Start with margin: decide what profit you need, then design the offer to fit.
• Capacity is the hidden cost: the same ‘service list’ can be profitable or unprofitable depending on scheduling + ratios.
• Owner pay + cash buffer are non‑negotiables (stress drops, decision quality rises).</t>
  </si>
  <si>
    <t>Fitness Business Benchmarks (Use as direction, not judgment)</t>
  </si>
  <si>
    <t>These ranges are commonly cited in industry / advisor materials. Your model (PT-heavy vs class-heavy) matters.</t>
  </si>
  <si>
    <t>Metric</t>
  </si>
  <si>
    <t>Healthy Range</t>
  </si>
  <si>
    <t>Yellow Flag</t>
  </si>
  <si>
    <t>Red Flag</t>
  </si>
  <si>
    <t>Notes (what to do)</t>
  </si>
  <si>
    <t>Labor / Wages (% of revenue)</t>
  </si>
  <si>
    <t>35–45%</t>
  </si>
  <si>
    <t>45–55%</t>
  </si>
  <si>
    <t>&gt;55%</t>
  </si>
  <si>
    <t>If high: raise pricing, simplify delivery, improve schedule fill, or shift some delivery to group/SGT.</t>
  </si>
  <si>
    <t>Rent / Occupancy (% of revenue)</t>
  </si>
  <si>
    <t>15–20%</t>
  </si>
  <si>
    <t>20–25%</t>
  </si>
  <si>
    <t>&gt;25%</t>
  </si>
  <si>
    <t>If high: you must price for it OR increase capacity utilization (more members/visits per hour).</t>
  </si>
  <si>
    <t>Marketing spend (% of revenue)</t>
  </si>
  <si>
    <t>5–10% (steady)</t>
  </si>
  <si>
    <t>10–15% (growth)</t>
  </si>
  <si>
    <t>&gt;15% for &gt;90 days</t>
  </si>
  <si>
    <t>If high: improve lead-to-sale conversion before spending more.</t>
  </si>
  <si>
    <t>Net profit margin (after all expenses)</t>
  </si>
  <si>
    <t>15–25% (strong)</t>
  </si>
  <si>
    <t>10–15%</t>
  </si>
  <si>
    <t>&lt;10%</t>
  </si>
  <si>
    <t>If low: start with offer margins + wage % + rent % (they usually drive it).</t>
  </si>
  <si>
    <t>Cash reserve (months of operating expenses)</t>
  </si>
  <si>
    <t>3–6 months</t>
  </si>
  <si>
    <t>1–3 months</t>
  </si>
  <si>
    <t>&lt;1 month</t>
  </si>
  <si>
    <t>Build buffer: automate weekly transfer to reserves until you reach your target.</t>
  </si>
  <si>
    <t>Weekly Money Scoreboard (keep it simple)</t>
  </si>
  <si>
    <t>Enter last week’s totals. Green = healthy, Yellow = watch, Red = action needed. Use GST‑exclusive prices/revenue (excl. GST).</t>
  </si>
  <si>
    <t>Inputs (last week)</t>
  </si>
  <si>
    <t>Outputs</t>
  </si>
  <si>
    <t>Weekly revenue ($)</t>
  </si>
  <si>
    <t>Wage %</t>
  </si>
  <si>
    <t>Weekly wages &amp; contractor pay ($)</t>
  </si>
  <si>
    <t>Marketing %</t>
  </si>
  <si>
    <t>Weekly marketing spend ($)</t>
  </si>
  <si>
    <t>Approx. weekly net margin</t>
  </si>
  <si>
    <t>Weekly other variable costs ($)</t>
  </si>
  <si>
    <t>Cash buffer (months)</t>
  </si>
  <si>
    <t>Monthly fixed operating costs ($)</t>
  </si>
  <si>
    <t>Cash in bank today ($)</t>
  </si>
  <si>
    <t>Targets (simple)</t>
  </si>
  <si>
    <t>• Wage %: aim 35–45% (PT-heavy may be higher).  • Marketing %: 5–10% steady, 10–15% growth.  • Net margin: aim 15%+.  • Cash buffer: 3 months minimum.</t>
  </si>
  <si>
    <t>Pricing Calculator (One Offer at a Time)</t>
  </si>
  <si>
    <t>Tip: Fill the yellow cells only. The calculator tells you if the offer has enough margin *and* if delivery is realistic. Use GST‑exclusive prices/revenue (excl. GST).</t>
  </si>
  <si>
    <t>Offer details</t>
  </si>
  <si>
    <t>Results</t>
  </si>
  <si>
    <t>Offer name</t>
  </si>
  <si>
    <t>SGT Membership</t>
  </si>
  <si>
    <t>Monthly revenue per member</t>
  </si>
  <si>
    <t>Price (per billing period)</t>
  </si>
  <si>
    <t>Monthly sessions delivered per member</t>
  </si>
  <si>
    <t>Billing frequency</t>
  </si>
  <si>
    <t>Weekly</t>
  </si>
  <si>
    <t>Coach hours per member per month (after group size)</t>
  </si>
  <si>
    <t>Avg. active weeks per month</t>
  </si>
  <si>
    <t>Coach cost per member per month</t>
  </si>
  <si>
    <t>Sessions / classes included per week</t>
  </si>
  <si>
    <t>Payment processing $/month</t>
  </si>
  <si>
    <t>Session length (minutes)</t>
  </si>
  <si>
    <t>Total variable cost / member / month</t>
  </si>
  <si>
    <t>Avg. clients per session (1:1=1, SGT=2-6, class=8-20)</t>
  </si>
  <si>
    <t>Contribution margin $/member</t>
  </si>
  <si>
    <t>Coach cost per hour (loaded) $</t>
  </si>
  <si>
    <t>Contribution margin %</t>
  </si>
  <si>
    <t>Payment processing % of revenue</t>
  </si>
  <si>
    <t>Overhead allocation / member / month</t>
  </si>
  <si>
    <t>Other variable cost per member / month ($)</t>
  </si>
  <si>
    <t>Estimated net profit / member / month</t>
  </si>
  <si>
    <t>Monthly fixed operating costs ($) (for overhead allocation)</t>
  </si>
  <si>
    <t>Estimated net margin %</t>
  </si>
  <si>
    <t>Active members on this offer (for overhead allocation)</t>
  </si>
  <si>
    <t>Capacity check: coach hours/week for this offer (all members)</t>
  </si>
  <si>
    <t>Interpretation (quick)</t>
  </si>
  <si>
    <t>• Contribution margin % is the ‘offer engine’ (higher is better).
• If net margin % is under ~15%, you’re probably buying revenue with hours.
• If capacity check is unrealistic, fix delivery first (group size, frequency, time).</t>
  </si>
  <si>
    <t>Offer Design Worksheet (Build margin into packages)</t>
  </si>
  <si>
    <t>Fill yellow cells. The sheet calculates a minimum price to hit your target margin based on delivery + capacity. Use GST‑exclusive prices/revenue (excl. GST).</t>
  </si>
  <si>
    <t>Global assumptions</t>
  </si>
  <si>
    <t>Weeks per month</t>
  </si>
  <si>
    <t>Overhead $/member/mo</t>
  </si>
  <si>
    <t>Payment processing %</t>
  </si>
  <si>
    <t>Planned total members (for overhead allocation)</t>
  </si>
  <si>
    <t>Tier</t>
  </si>
  <si>
    <t>Sessions / wk</t>
  </si>
  <si>
    <t>Mins / sess</t>
  </si>
  <si>
    <t>Avg group size</t>
  </si>
  <si>
    <t>Coach $/hr</t>
  </si>
  <si>
    <t>Other var $/mo</t>
  </si>
  <si>
    <t>Target net margin</t>
  </si>
  <si>
    <t>Coach cost $/mo</t>
  </si>
  <si>
    <t>All‑in cost (excl. processing)</t>
  </si>
  <si>
    <t>Min price / month</t>
  </si>
  <si>
    <t>Min price / week</t>
  </si>
  <si>
    <t>Entry Offer (4-6 weeks)</t>
  </si>
  <si>
    <t>Core Membership</t>
  </si>
  <si>
    <t>Premium Coaching</t>
  </si>
  <si>
    <t>Delivery constraints to write down (not numbers):</t>
  </si>
  <si>
    <t>• Class schedule: which time slots must stay full?  • Coach capacity: max sessions/week per coach.
• Policy: what’s included vs paid add‑ons?  • Member expectations: response times, cancellations, make‑ups.</t>
  </si>
  <si>
    <t>Is This Package Profitable? (Quick Checklist)</t>
  </si>
  <si>
    <t>If you can’t answer ‘Yes’ confidently, the offer needs a tweak *before* you sell more of it. Use GST‑exclusive prices/revenue (excl. GST).</t>
  </si>
  <si>
    <t>Checklist item</t>
  </si>
  <si>
    <t>Yes / No</t>
  </si>
  <si>
    <t>If 'No', what to do</t>
  </si>
  <si>
    <t>We know the delivery cost (coach time) per member.</t>
  </si>
  <si>
    <t>Yes</t>
  </si>
  <si>
    <t>Estimate coach hours/member/month using Pricing Calculator.</t>
  </si>
  <si>
    <t>The package has a clear cap (sessions/week, response times, make-up rules).</t>
  </si>
  <si>
    <t>Add constraints; convert extras to paid add-ons.</t>
  </si>
  <si>
    <t>Price was set from a target margin (not competitors).</t>
  </si>
  <si>
    <t>Use Offer Builder: set target margin then price.</t>
  </si>
  <si>
    <t>Coach pay is covered even when attendance is low.</t>
  </si>
  <si>
    <t>Raise min group size or adjust schedule; remove low-attendance sessions.</t>
  </si>
  <si>
    <t>Payment processing + small costs are included in the math.</t>
  </si>
  <si>
    <t>Add 2–3% processing + small consumables.</t>
  </si>
  <si>
    <t>Owner pay is planned (not ‘whatever is left’).</t>
  </si>
  <si>
    <t>Set an owner salary line and automate transfers.</t>
  </si>
  <si>
    <t>Cash buffer is growing every week.</t>
  </si>
  <si>
    <t>Auto-transfer a fixed amount to reserves weekly.</t>
  </si>
  <si>
    <t>Score</t>
  </si>
  <si>
    <t>Owner Pay + Cash Reserves (stress‑proof the business)</t>
  </si>
  <si>
    <t>Goal: pay yourself consistently + build a 3‑month operating buffer.</t>
  </si>
  <si>
    <t>Inputs</t>
  </si>
  <si>
    <t>Monthly operating expenses ($)</t>
  </si>
  <si>
    <t>Target reserve amount ($)</t>
  </si>
  <si>
    <t>Reserve gap ($)</t>
  </si>
  <si>
    <t>Target buffer (months)</t>
  </si>
  <si>
    <t>Weekly transfer to reserves ($)</t>
  </si>
  <si>
    <t>Weeks to build buffer</t>
  </si>
  <si>
    <t>Current buffer (months)</t>
  </si>
  <si>
    <t>Owner salary target per month ($)</t>
  </si>
  <si>
    <t>Owner pay gap / month ($)</t>
  </si>
  <si>
    <t>Owner salary currently paid per month ($)</t>
  </si>
  <si>
    <t>Suggested bank account setup (simple separation)</t>
  </si>
  <si>
    <t>1) Operating (income + bills)
2) Owner Pay (your salary)
3) Tax (set aside for GST/VAT/income tax)
4) Reserves (3‑month buffer)
Automation: schedule weekly transfers right after your highest-collection day.</t>
  </si>
  <si>
    <t>Reverse engineer the Owner Pay Gap</t>
  </si>
  <si>
    <t>Use these quick levers to close the Owner Pay Gap (cell E9): raise price, add members, or a mix. Work with contribution (price minus variable costs).</t>
  </si>
  <si>
    <t>Active members on this offer (#)</t>
  </si>
  <si>
    <t>Contribution per member per month ($)</t>
  </si>
  <si>
    <t>Current price per member per week ($)</t>
  </si>
  <si>
    <t>Extra members needed (at current price)</t>
  </si>
  <si>
    <t>Variable costs per member per week ($)</t>
  </si>
  <si>
    <t>Price increase needed per member/week (if members stay same)</t>
  </si>
  <si>
    <t>New price per member/week to hit owner pay goal</t>
  </si>
  <si>
    <t>Tip: variable costs = payment fees + per-member app/SMS + towels/consumables + any pay-per-session coach costs. If coaches are paid for shifts, keep that wage in fixed overhead (not here).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</si>
</sst>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0.0"/>
    <numFmt numFmtId="167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</font>
    <font>
      <sz val="9"/>
      <color rgb="FF374151"/>
      <name val="Calibri"/>
      <family val="2"/>
    </font>
    <font>
      <b/>
      <sz val="14"/>
      <color rgb="FF111827"/>
      <name val="Calibri"/>
      <family val="2"/>
    </font>
    <font>
      <b/>
      <sz val="12"/>
      <color rgb="FF111827"/>
      <name val="Calibri"/>
      <family val="2"/>
    </font>
    <font>
      <b/>
      <sz val="12"/>
      <color rgb="FF1F2937"/>
      <name val="Calibri"/>
      <family val="2"/>
    </font>
    <font>
      <sz val="11"/>
      <color rgb="FF374151"/>
      <name val="Calibri"/>
      <family val="2"/>
    </font>
    <font>
      <sz val="11"/>
      <color rgb="FF111827"/>
      <name val="Calibri"/>
      <family val="2"/>
    </font>
    <font>
      <b/>
      <sz val="11"/>
      <color rgb="FFFFFFFF"/>
      <name val="Calibri"/>
      <family val="2"/>
    </font>
    <font>
      <sz val="11"/>
      <color rgb="FF111827"/>
      <name val="Calibri"/>
      <family val="2"/>
    </font>
    <font>
      <b/>
      <sz val="11"/>
      <color rgb="FF065F46"/>
      <name val="Calibri"/>
      <family val="2"/>
    </font>
    <font>
      <b/>
      <sz val="11"/>
      <color rgb="FF111827"/>
      <name val="Calibri"/>
      <family val="2"/>
    </font>
    <font>
      <sz val="11"/>
      <color rgb="FF1D4ED8"/>
      <name val="Calibri"/>
      <family val="2"/>
    </font>
    <font>
      <b/>
      <sz val="12"/>
      <color rgb="FF065F46"/>
      <name val="Calibri"/>
      <family val="2"/>
    </font>
    <font>
      <sz val="10"/>
      <color rgb="FF111827"/>
      <name val="Calibri"/>
      <family val="2"/>
    </font>
    <font>
      <b/>
      <sz val="11"/>
      <color rgb="FF1E3A8A"/>
      <name val="Calibri"/>
      <family val="2"/>
    </font>
    <font>
      <b/>
      <sz val="13"/>
      <color rgb="FF065F46"/>
      <name val="Calibri"/>
      <family val="2"/>
    </font>
    <font>
      <b/>
      <sz val="12"/>
      <color rgb="FF1E3A8A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B1220"/>
      </patternFill>
    </fill>
    <fill>
      <patternFill patternType="solid">
        <fgColor rgb="FFF3F4F6"/>
      </patternFill>
    </fill>
    <fill>
      <patternFill patternType="solid">
        <fgColor rgb="FFEEF2FF"/>
      </patternFill>
    </fill>
    <fill>
      <patternFill patternType="solid">
        <fgColor rgb="FF111827"/>
      </patternFill>
    </fill>
    <fill>
      <patternFill patternType="solid">
        <fgColor rgb="FFD1FAE5"/>
      </patternFill>
    </fill>
    <fill>
      <patternFill patternType="solid">
        <fgColor rgb="FFFEF3C7"/>
      </patternFill>
    </fill>
    <fill>
      <patternFill patternType="solid">
        <fgColor rgb="FFFEE2E2"/>
      </patternFill>
    </fill>
    <fill>
      <patternFill patternType="solid">
        <fgColor rgb="FFFFF7CC"/>
      </patternFill>
    </fill>
    <fill>
      <patternFill patternType="solid">
        <fgColor rgb="FFDBEAFE"/>
      </patternFill>
    </fill>
  </fills>
  <borders count="11">
    <border>
      <left/>
      <right/>
      <top/>
      <bottom/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/>
      <diagonal/>
    </border>
    <border>
      <left style="thin">
        <color rgb="FFC9C9C9"/>
      </left>
      <right/>
      <top/>
      <bottom/>
      <diagonal/>
    </border>
    <border>
      <left/>
      <right style="thin">
        <color rgb="FFC9C9C9"/>
      </right>
      <top style="thin">
        <color rgb="FFC9C9C9"/>
      </top>
      <bottom/>
      <diagonal/>
    </border>
    <border>
      <left/>
      <right style="thin">
        <color rgb="FFC9C9C9"/>
      </right>
      <top/>
      <bottom/>
      <diagonal/>
    </border>
    <border>
      <left style="thin">
        <color rgb="FFC9C9C9"/>
      </left>
      <right/>
      <top/>
      <bottom style="thin">
        <color rgb="FFC9C9C9"/>
      </bottom>
      <diagonal/>
    </border>
    <border>
      <left/>
      <right/>
      <top/>
      <bottom style="thin">
        <color rgb="FFC9C9C9"/>
      </bottom>
      <diagonal/>
    </border>
    <border>
      <left/>
      <right style="thin">
        <color rgb="FFC9C9C9"/>
      </right>
      <top/>
      <bottom style="thin">
        <color rgb="FFC9C9C9"/>
      </bottom>
      <diagonal/>
    </border>
    <border>
      <left/>
      <right/>
      <top style="thin">
        <color rgb="FFC9C9C9"/>
      </top>
      <bottom style="thin">
        <color rgb="FFC9C9C9"/>
      </bottom>
      <diagonal/>
    </border>
    <border>
      <left/>
      <right style="thin">
        <color rgb="FFC9C9C9"/>
      </right>
      <top style="thin">
        <color rgb="FFC9C9C9"/>
      </top>
      <bottom style="thin">
        <color rgb="FFC9C9C9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left" vertical="center" wrapText="1"/>
    </xf>
    <xf numFmtId="164" fontId="12" fillId="9" borderId="1" xfId="0" applyNumberFormat="1" applyFont="1" applyFill="1" applyBorder="1" applyAlignment="1">
      <alignment horizontal="right" vertical="center" wrapText="1"/>
    </xf>
    <xf numFmtId="165" fontId="13" fillId="6" borderId="1" xfId="0" applyNumberFormat="1" applyFont="1" applyFill="1" applyBorder="1" applyAlignment="1">
      <alignment horizontal="right" vertical="center" wrapText="1"/>
    </xf>
    <xf numFmtId="166" fontId="13" fillId="6" borderId="1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left" vertical="center" wrapText="1"/>
    </xf>
    <xf numFmtId="164" fontId="13" fillId="6" borderId="1" xfId="0" applyNumberFormat="1" applyFont="1" applyFill="1" applyBorder="1" applyAlignment="1">
      <alignment horizontal="right" vertical="center" wrapText="1"/>
    </xf>
    <xf numFmtId="49" fontId="12" fillId="9" borderId="1" xfId="0" applyNumberFormat="1" applyFont="1" applyFill="1" applyBorder="1" applyAlignment="1">
      <alignment horizontal="left" vertical="center" wrapText="1"/>
    </xf>
    <xf numFmtId="2" fontId="13" fillId="6" borderId="1" xfId="0" applyNumberFormat="1" applyFont="1" applyFill="1" applyBorder="1" applyAlignment="1">
      <alignment horizontal="right" vertical="center" wrapText="1"/>
    </xf>
    <xf numFmtId="2" fontId="12" fillId="9" borderId="1" xfId="0" applyNumberFormat="1" applyFont="1" applyFill="1" applyBorder="1" applyAlignment="1">
      <alignment horizontal="right" vertical="center" wrapText="1"/>
    </xf>
    <xf numFmtId="1" fontId="12" fillId="9" borderId="1" xfId="0" applyNumberFormat="1" applyFont="1" applyFill="1" applyBorder="1" applyAlignment="1">
      <alignment horizontal="right" vertical="center" wrapText="1"/>
    </xf>
    <xf numFmtId="165" fontId="12" fillId="9" borderId="1" xfId="0" applyNumberFormat="1" applyFont="1" applyFill="1" applyBorder="1" applyAlignment="1">
      <alignment horizontal="right" vertical="center" wrapText="1"/>
    </xf>
    <xf numFmtId="0" fontId="15" fillId="10" borderId="1" xfId="0" applyFont="1" applyFill="1" applyBorder="1" applyAlignment="1">
      <alignment horizontal="left" vertical="center" wrapText="1"/>
    </xf>
    <xf numFmtId="165" fontId="16" fillId="6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164" fontId="17" fillId="10" borderId="1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" fontId="13" fillId="6" borderId="1" xfId="0" applyNumberFormat="1" applyFont="1" applyFill="1" applyBorder="1" applyAlignment="1">
      <alignment horizontal="right" vertical="center" wrapText="1"/>
    </xf>
    <xf numFmtId="167" fontId="13" fillId="6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167" fontId="17" fillId="10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3" fillId="0" borderId="0" xfId="0" applyFont="1"/>
    <xf numFmtId="0" fontId="2" fillId="3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1" xfId="0" applyFont="1" applyBorder="1"/>
    <xf numFmtId="0" fontId="0" fillId="0" borderId="9" xfId="0" applyBorder="1"/>
    <xf numFmtId="0" fontId="0" fillId="0" borderId="10" xfId="0" applyBorder="1"/>
    <xf numFmtId="0" fontId="2" fillId="3" borderId="0" xfId="0" applyFont="1" applyFill="1" applyAlignment="1">
      <alignment horizontal="left" vertical="center" wrapText="1"/>
    </xf>
    <xf numFmtId="0" fontId="14" fillId="4" borderId="1" xfId="0" applyFont="1" applyFill="1" applyBorder="1" applyAlignment="1">
      <alignment horizontal="left" vertical="top" wrapText="1"/>
    </xf>
    <xf numFmtId="0" fontId="4" fillId="0" borderId="0" xfId="0" applyFont="1"/>
  </cellXfs>
  <cellStyles count="1">
    <cellStyle name="Normal" xfId="0" builtinId="0"/>
  </cellStyles>
  <dxfs count="21"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254000</xdr:colOff>
      <xdr:row>13</xdr:row>
      <xdr:rowOff>25400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B94FDF07-1418-ADB9-8BD0-4CDFF6CBB9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254000</xdr:colOff>
      <xdr:row>15</xdr:row>
      <xdr:rowOff>50800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39DCA03E-B688-AE57-0CF4-E2EC4536A4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5100300" cy="999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workbookViewId="0">
      <selection activeCell="I10" sqref="I10"/>
    </sheetView>
  </sheetViews>
  <sheetFormatPr baseColWidth="10" defaultColWidth="8.83203125" defaultRowHeight="15" x14ac:dyDescent="0.2"/>
  <cols>
    <col min="1" max="1" width="3" customWidth="1"/>
    <col min="2" max="2" width="32" customWidth="1"/>
    <col min="3" max="3" width="55" customWidth="1"/>
    <col min="4" max="4" width="20" customWidth="1"/>
    <col min="5" max="6" width="18" customWidth="1"/>
  </cols>
  <sheetData>
    <row r="1" spans="1:6" ht="32" customHeight="1" x14ac:dyDescent="0.2">
      <c r="A1" s="36" t="s">
        <v>0</v>
      </c>
      <c r="B1" s="37"/>
      <c r="C1" s="37"/>
      <c r="D1" s="37"/>
      <c r="E1" s="37"/>
      <c r="F1" s="37"/>
    </row>
    <row r="2" spans="1:6" x14ac:dyDescent="0.2">
      <c r="A2" s="40" t="s">
        <v>1</v>
      </c>
      <c r="B2" s="37"/>
      <c r="C2" s="37"/>
      <c r="D2" s="37"/>
      <c r="E2" s="37"/>
      <c r="F2" s="37"/>
    </row>
    <row r="4" spans="1:6" ht="19" x14ac:dyDescent="0.25">
      <c r="B4" s="39" t="s">
        <v>2</v>
      </c>
      <c r="C4" s="37"/>
      <c r="D4" s="37"/>
      <c r="E4" s="37"/>
      <c r="F4" s="37"/>
    </row>
    <row r="6" spans="1:6" ht="17" x14ac:dyDescent="0.2">
      <c r="B6" s="1" t="s">
        <v>3</v>
      </c>
      <c r="C6" s="2" t="s">
        <v>4</v>
      </c>
      <c r="D6" s="38" t="s">
        <v>5</v>
      </c>
      <c r="E6" s="37"/>
      <c r="F6" s="37"/>
    </row>
    <row r="7" spans="1:6" x14ac:dyDescent="0.2">
      <c r="B7" s="3"/>
      <c r="C7" s="3"/>
    </row>
    <row r="8" spans="1:6" ht="17" x14ac:dyDescent="0.2">
      <c r="B8" s="1" t="s">
        <v>6</v>
      </c>
      <c r="C8" s="2" t="s">
        <v>7</v>
      </c>
      <c r="D8" s="38" t="s">
        <v>8</v>
      </c>
      <c r="E8" s="37"/>
      <c r="F8" s="37"/>
    </row>
    <row r="9" spans="1:6" x14ac:dyDescent="0.2">
      <c r="B9" s="3"/>
      <c r="C9" s="3"/>
    </row>
    <row r="10" spans="1:6" ht="17" x14ac:dyDescent="0.2">
      <c r="B10" s="1" t="s">
        <v>9</v>
      </c>
      <c r="C10" s="2" t="s">
        <v>10</v>
      </c>
      <c r="D10" s="38" t="s">
        <v>11</v>
      </c>
      <c r="E10" s="37"/>
      <c r="F10" s="37"/>
    </row>
    <row r="11" spans="1:6" x14ac:dyDescent="0.2">
      <c r="B11" s="3"/>
      <c r="C11" s="3"/>
    </row>
    <row r="12" spans="1:6" ht="17" x14ac:dyDescent="0.2">
      <c r="B12" s="1" t="s">
        <v>12</v>
      </c>
      <c r="C12" s="2" t="s">
        <v>13</v>
      </c>
      <c r="D12" s="38" t="s">
        <v>14</v>
      </c>
      <c r="E12" s="37"/>
      <c r="F12" s="37"/>
    </row>
    <row r="13" spans="1:6" x14ac:dyDescent="0.2">
      <c r="B13" s="3"/>
      <c r="C13" s="3"/>
    </row>
    <row r="14" spans="1:6" ht="17" x14ac:dyDescent="0.2">
      <c r="B14" s="4" t="s">
        <v>15</v>
      </c>
      <c r="C14" s="5" t="s">
        <v>16</v>
      </c>
      <c r="D14" s="38" t="s">
        <v>17</v>
      </c>
      <c r="E14" s="37"/>
      <c r="F14" s="37"/>
    </row>
    <row r="16" spans="1:6" ht="16" x14ac:dyDescent="0.2">
      <c r="B16" s="49" t="s">
        <v>18</v>
      </c>
      <c r="C16" s="50"/>
      <c r="D16" s="50"/>
      <c r="E16" s="50"/>
      <c r="F16" s="51"/>
    </row>
    <row r="17" spans="2:6" x14ac:dyDescent="0.2">
      <c r="B17" s="41" t="s">
        <v>19</v>
      </c>
      <c r="C17" s="42"/>
      <c r="D17" s="42"/>
      <c r="E17" s="42"/>
      <c r="F17" s="43"/>
    </row>
    <row r="18" spans="2:6" x14ac:dyDescent="0.2">
      <c r="B18" s="44"/>
      <c r="C18" s="37"/>
      <c r="D18" s="37"/>
      <c r="E18" s="37"/>
      <c r="F18" s="45"/>
    </row>
    <row r="19" spans="2:6" x14ac:dyDescent="0.2">
      <c r="B19" s="44"/>
      <c r="C19" s="37"/>
      <c r="D19" s="37"/>
      <c r="E19" s="37"/>
      <c r="F19" s="45"/>
    </row>
    <row r="20" spans="2:6" x14ac:dyDescent="0.2">
      <c r="B20" s="46"/>
      <c r="C20" s="47"/>
      <c r="D20" s="47"/>
      <c r="E20" s="47"/>
      <c r="F20" s="48"/>
    </row>
  </sheetData>
  <mergeCells count="10">
    <mergeCell ref="B17:F20"/>
    <mergeCell ref="D14:F14"/>
    <mergeCell ref="B16:F16"/>
    <mergeCell ref="A1:F1"/>
    <mergeCell ref="D12:F12"/>
    <mergeCell ref="D8:F8"/>
    <mergeCell ref="D6:F6"/>
    <mergeCell ref="D10:F10"/>
    <mergeCell ref="B4:F4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showGridLines="0" workbookViewId="0">
      <selection activeCell="F6" sqref="F6"/>
    </sheetView>
  </sheetViews>
  <sheetFormatPr baseColWidth="10" defaultColWidth="8.83203125" defaultRowHeight="15" x14ac:dyDescent="0.2"/>
  <cols>
    <col min="1" max="1" width="3" customWidth="1"/>
    <col min="2" max="2" width="30" customWidth="1"/>
    <col min="3" max="4" width="20" customWidth="1"/>
    <col min="5" max="5" width="55" customWidth="1"/>
    <col min="6" max="6" width="40.33203125" customWidth="1"/>
  </cols>
  <sheetData>
    <row r="1" spans="1:6" ht="28" customHeight="1" x14ac:dyDescent="0.2">
      <c r="A1" s="36" t="s">
        <v>20</v>
      </c>
      <c r="B1" s="37"/>
      <c r="C1" s="37"/>
      <c r="D1" s="37"/>
      <c r="E1" s="37"/>
    </row>
    <row r="2" spans="1:6" x14ac:dyDescent="0.2">
      <c r="A2" s="52" t="s">
        <v>21</v>
      </c>
      <c r="B2" s="37"/>
      <c r="C2" s="37"/>
      <c r="D2" s="37"/>
      <c r="E2" s="37"/>
    </row>
    <row r="4" spans="1:6" ht="16" x14ac:dyDescent="0.2"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</row>
    <row r="5" spans="1:6" ht="143" customHeight="1" x14ac:dyDescent="0.2">
      <c r="B5" s="8" t="s">
        <v>27</v>
      </c>
      <c r="C5" s="9" t="s">
        <v>28</v>
      </c>
      <c r="D5" s="10" t="s">
        <v>29</v>
      </c>
      <c r="E5" s="11" t="s">
        <v>30</v>
      </c>
      <c r="F5" s="8" t="s">
        <v>31</v>
      </c>
    </row>
    <row r="6" spans="1:6" ht="128" customHeight="1" x14ac:dyDescent="0.2">
      <c r="B6" s="8" t="s">
        <v>32</v>
      </c>
      <c r="C6" s="9" t="s">
        <v>33</v>
      </c>
      <c r="D6" s="10" t="s">
        <v>34</v>
      </c>
      <c r="E6" s="11" t="s">
        <v>35</v>
      </c>
      <c r="F6" s="8" t="s">
        <v>36</v>
      </c>
    </row>
    <row r="7" spans="1:6" ht="83" customHeight="1" x14ac:dyDescent="0.2">
      <c r="B7" s="8" t="s">
        <v>37</v>
      </c>
      <c r="C7" s="9" t="s">
        <v>38</v>
      </c>
      <c r="D7" s="10" t="s">
        <v>39</v>
      </c>
      <c r="E7" s="11" t="s">
        <v>40</v>
      </c>
      <c r="F7" s="8" t="s">
        <v>41</v>
      </c>
    </row>
    <row r="8" spans="1:6" ht="123" customHeight="1" x14ac:dyDescent="0.2">
      <c r="B8" s="8" t="s">
        <v>42</v>
      </c>
      <c r="C8" s="9" t="s">
        <v>43</v>
      </c>
      <c r="D8" s="10" t="s">
        <v>44</v>
      </c>
      <c r="E8" s="11" t="s">
        <v>45</v>
      </c>
      <c r="F8" s="8" t="s">
        <v>46</v>
      </c>
    </row>
    <row r="9" spans="1:6" ht="142" customHeight="1" x14ac:dyDescent="0.2">
      <c r="B9" s="8" t="s">
        <v>47</v>
      </c>
      <c r="C9" s="9" t="s">
        <v>48</v>
      </c>
      <c r="D9" s="10" t="s">
        <v>49</v>
      </c>
      <c r="E9" s="11" t="s">
        <v>50</v>
      </c>
      <c r="F9" s="8" t="s">
        <v>51</v>
      </c>
    </row>
  </sheetData>
  <mergeCells count="2">
    <mergeCell ref="A2:E2"/>
    <mergeCell ref="A1:E1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workbookViewId="0">
      <selection activeCell="H11" sqref="H11"/>
    </sheetView>
  </sheetViews>
  <sheetFormatPr baseColWidth="10" defaultColWidth="8.83203125" defaultRowHeight="15" x14ac:dyDescent="0.2"/>
  <cols>
    <col min="1" max="1" width="3" customWidth="1"/>
    <col min="2" max="2" width="32" customWidth="1"/>
    <col min="3" max="4" width="18" customWidth="1"/>
    <col min="5" max="5" width="30" customWidth="1"/>
    <col min="6" max="6" width="18" customWidth="1"/>
  </cols>
  <sheetData>
    <row r="1" spans="1:6" ht="28" customHeight="1" x14ac:dyDescent="0.2">
      <c r="A1" s="36" t="s">
        <v>52</v>
      </c>
      <c r="B1" s="37"/>
      <c r="C1" s="37"/>
      <c r="D1" s="37"/>
      <c r="E1" s="37"/>
      <c r="F1" s="37"/>
    </row>
    <row r="2" spans="1:6" x14ac:dyDescent="0.2">
      <c r="A2" s="52" t="s">
        <v>53</v>
      </c>
      <c r="B2" s="37"/>
      <c r="C2" s="37"/>
      <c r="D2" s="37"/>
      <c r="E2" s="37"/>
      <c r="F2" s="37"/>
    </row>
    <row r="4" spans="1:6" ht="16" x14ac:dyDescent="0.2">
      <c r="B4" s="54" t="s">
        <v>54</v>
      </c>
      <c r="C4" s="37"/>
      <c r="E4" s="54" t="s">
        <v>55</v>
      </c>
      <c r="F4" s="37"/>
    </row>
    <row r="5" spans="1:6" ht="22" customHeight="1" x14ac:dyDescent="0.2">
      <c r="B5" s="13" t="s">
        <v>56</v>
      </c>
      <c r="C5" s="14">
        <v>25000</v>
      </c>
      <c r="E5" s="13" t="s">
        <v>57</v>
      </c>
      <c r="F5" s="15">
        <f>C6/C5</f>
        <v>0.4</v>
      </c>
    </row>
    <row r="6" spans="1:6" ht="22" customHeight="1" x14ac:dyDescent="0.2">
      <c r="B6" s="13" t="s">
        <v>58</v>
      </c>
      <c r="C6" s="14">
        <v>10000</v>
      </c>
      <c r="E6" s="13" t="s">
        <v>59</v>
      </c>
      <c r="F6" s="15">
        <f>C7/C5</f>
        <v>0.06</v>
      </c>
    </row>
    <row r="7" spans="1:6" ht="22" customHeight="1" x14ac:dyDescent="0.2">
      <c r="B7" s="13" t="s">
        <v>60</v>
      </c>
      <c r="C7" s="14">
        <v>1500</v>
      </c>
      <c r="E7" s="13" t="s">
        <v>61</v>
      </c>
      <c r="F7" s="15">
        <f>(C5-C6-C7-C8-(C9/4.33))/C5</f>
        <v>0.26905311778290997</v>
      </c>
    </row>
    <row r="8" spans="1:6" ht="22" customHeight="1" x14ac:dyDescent="0.2">
      <c r="B8" s="13" t="s">
        <v>62</v>
      </c>
      <c r="C8" s="14">
        <v>1000</v>
      </c>
      <c r="E8" s="13" t="s">
        <v>63</v>
      </c>
      <c r="F8" s="16">
        <f>C10/C9</f>
        <v>1.6</v>
      </c>
    </row>
    <row r="9" spans="1:6" ht="22" customHeight="1" x14ac:dyDescent="0.2">
      <c r="B9" s="13" t="s">
        <v>64</v>
      </c>
      <c r="C9" s="14">
        <v>25000</v>
      </c>
    </row>
    <row r="10" spans="1:6" ht="22" customHeight="1" x14ac:dyDescent="0.2">
      <c r="B10" s="13" t="s">
        <v>65</v>
      </c>
      <c r="C10" s="14">
        <v>40000</v>
      </c>
    </row>
    <row r="12" spans="1:6" ht="16" x14ac:dyDescent="0.2">
      <c r="B12" s="54" t="s">
        <v>66</v>
      </c>
      <c r="C12" s="37"/>
      <c r="D12" s="37"/>
      <c r="E12" s="37"/>
      <c r="F12" s="37"/>
    </row>
    <row r="13" spans="1:6" x14ac:dyDescent="0.2">
      <c r="B13" s="53" t="s">
        <v>67</v>
      </c>
      <c r="C13" s="42"/>
      <c r="D13" s="42"/>
      <c r="E13" s="42"/>
      <c r="F13" s="43"/>
    </row>
    <row r="14" spans="1:6" x14ac:dyDescent="0.2">
      <c r="B14" s="46"/>
      <c r="C14" s="47"/>
      <c r="D14" s="47"/>
      <c r="E14" s="47"/>
      <c r="F14" s="48"/>
    </row>
  </sheetData>
  <mergeCells count="6">
    <mergeCell ref="B13:F14"/>
    <mergeCell ref="A2:F2"/>
    <mergeCell ref="E4:F4"/>
    <mergeCell ref="B12:F12"/>
    <mergeCell ref="A1:F1"/>
    <mergeCell ref="B4:C4"/>
  </mergeCells>
  <conditionalFormatting sqref="F5">
    <cfRule type="cellIs" dxfId="20" priority="1" operator="lessThanOrEqual">
      <formula>0.45</formula>
    </cfRule>
    <cfRule type="cellIs" dxfId="19" priority="2" operator="between">
      <formula>0.45</formula>
      <formula>0.55</formula>
    </cfRule>
    <cfRule type="cellIs" dxfId="18" priority="3" operator="greaterThan">
      <formula>0.55</formula>
    </cfRule>
  </conditionalFormatting>
  <conditionalFormatting sqref="F6">
    <cfRule type="cellIs" dxfId="17" priority="4" operator="lessThanOrEqual">
      <formula>0.1</formula>
    </cfRule>
    <cfRule type="cellIs" dxfId="16" priority="5" operator="between">
      <formula>0.1</formula>
      <formula>0.15</formula>
    </cfRule>
    <cfRule type="cellIs" dxfId="15" priority="6" operator="greaterThan">
      <formula>0.15</formula>
    </cfRule>
  </conditionalFormatting>
  <conditionalFormatting sqref="F7">
    <cfRule type="cellIs" dxfId="14" priority="7" operator="greaterThanOrEqual">
      <formula>0.15</formula>
    </cfRule>
    <cfRule type="cellIs" dxfId="13" priority="8" operator="between">
      <formula>0.1</formula>
      <formula>0.15</formula>
    </cfRule>
    <cfRule type="cellIs" dxfId="12" priority="9" operator="lessThan">
      <formula>0.1</formula>
    </cfRule>
  </conditionalFormatting>
  <conditionalFormatting sqref="F8">
    <cfRule type="cellIs" dxfId="11" priority="10" operator="greaterThanOrEqual">
      <formula>3</formula>
    </cfRule>
    <cfRule type="cellIs" dxfId="10" priority="11" operator="between">
      <formula>1</formula>
      <formula>3</formula>
    </cfRule>
    <cfRule type="cellIs" dxfId="9" priority="12" operator="less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showGridLines="0" workbookViewId="0">
      <selection activeCell="C7" sqref="C7"/>
    </sheetView>
  </sheetViews>
  <sheetFormatPr baseColWidth="10" defaultColWidth="8.83203125" defaultRowHeight="15" x14ac:dyDescent="0.2"/>
  <cols>
    <col min="1" max="1" width="3" customWidth="1"/>
    <col min="2" max="2" width="36" customWidth="1"/>
    <col min="3" max="3" width="20" customWidth="1"/>
    <col min="4" max="4" width="18" customWidth="1"/>
    <col min="5" max="5" width="28" customWidth="1"/>
    <col min="6" max="6" width="20" customWidth="1"/>
  </cols>
  <sheetData>
    <row r="1" spans="1:6" ht="28" customHeight="1" x14ac:dyDescent="0.2">
      <c r="A1" s="36" t="s">
        <v>68</v>
      </c>
      <c r="B1" s="37"/>
      <c r="C1" s="37"/>
      <c r="D1" s="37"/>
      <c r="E1" s="37"/>
      <c r="F1" s="37"/>
    </row>
    <row r="2" spans="1:6" x14ac:dyDescent="0.2">
      <c r="A2" s="52" t="s">
        <v>69</v>
      </c>
      <c r="B2" s="37"/>
      <c r="C2" s="37"/>
      <c r="D2" s="37"/>
      <c r="E2" s="37"/>
      <c r="F2" s="37"/>
    </row>
    <row r="4" spans="1:6" ht="16" x14ac:dyDescent="0.2">
      <c r="B4" s="54" t="s">
        <v>70</v>
      </c>
      <c r="C4" s="37"/>
      <c r="E4" s="54" t="s">
        <v>71</v>
      </c>
      <c r="F4" s="37"/>
    </row>
    <row r="5" spans="1:6" ht="24" customHeight="1" x14ac:dyDescent="0.2">
      <c r="B5" s="13" t="s">
        <v>72</v>
      </c>
      <c r="C5" s="17" t="s">
        <v>73</v>
      </c>
      <c r="E5" s="13" t="s">
        <v>74</v>
      </c>
      <c r="F5" s="18">
        <f>IF(C7="Weekly",C6*C8,IF(C7="Fortnightly",C6*(C8/2),C6))</f>
        <v>259.8</v>
      </c>
    </row>
    <row r="6" spans="1:6" ht="24" customHeight="1" x14ac:dyDescent="0.2">
      <c r="B6" s="13" t="s">
        <v>75</v>
      </c>
      <c r="C6" s="14">
        <v>60</v>
      </c>
      <c r="E6" s="13" t="s">
        <v>76</v>
      </c>
      <c r="F6" s="16">
        <f>C9*C8</f>
        <v>12.99</v>
      </c>
    </row>
    <row r="7" spans="1:6" ht="24" customHeight="1" x14ac:dyDescent="0.2">
      <c r="B7" s="13" t="s">
        <v>77</v>
      </c>
      <c r="C7" s="19" t="s">
        <v>78</v>
      </c>
      <c r="E7" s="13" t="s">
        <v>79</v>
      </c>
      <c r="F7" s="20">
        <f>(C9*C10*C8/60)/C11</f>
        <v>2.165</v>
      </c>
    </row>
    <row r="8" spans="1:6" ht="24" customHeight="1" x14ac:dyDescent="0.2">
      <c r="B8" s="13" t="s">
        <v>80</v>
      </c>
      <c r="C8" s="21">
        <v>4.33</v>
      </c>
      <c r="E8" s="13" t="s">
        <v>81</v>
      </c>
      <c r="F8" s="18">
        <f>F7*C12</f>
        <v>97.424999999999997</v>
      </c>
    </row>
    <row r="9" spans="1:6" ht="24" customHeight="1" x14ac:dyDescent="0.2">
      <c r="B9" s="13" t="s">
        <v>82</v>
      </c>
      <c r="C9" s="22">
        <v>3</v>
      </c>
      <c r="E9" s="13" t="s">
        <v>83</v>
      </c>
      <c r="F9" s="18">
        <f>F5*C13</f>
        <v>7.5342000000000011</v>
      </c>
    </row>
    <row r="10" spans="1:6" ht="24" customHeight="1" x14ac:dyDescent="0.2">
      <c r="B10" s="13" t="s">
        <v>84</v>
      </c>
      <c r="C10" s="22">
        <v>60</v>
      </c>
      <c r="E10" s="13" t="s">
        <v>85</v>
      </c>
      <c r="F10" s="18">
        <f>F8+F9+C14</f>
        <v>109.9592</v>
      </c>
    </row>
    <row r="11" spans="1:6" ht="24" customHeight="1" x14ac:dyDescent="0.2">
      <c r="B11" s="13" t="s">
        <v>86</v>
      </c>
      <c r="C11" s="22">
        <v>6</v>
      </c>
      <c r="E11" s="13" t="s">
        <v>87</v>
      </c>
      <c r="F11" s="18">
        <f>F5-F10</f>
        <v>149.8408</v>
      </c>
    </row>
    <row r="12" spans="1:6" ht="24" customHeight="1" x14ac:dyDescent="0.2">
      <c r="B12" s="13" t="s">
        <v>88</v>
      </c>
      <c r="C12" s="14">
        <v>45</v>
      </c>
      <c r="E12" s="13" t="s">
        <v>89</v>
      </c>
      <c r="F12" s="15">
        <f>IF(F5=0,0,F11/F5)</f>
        <v>0.57675442648190911</v>
      </c>
    </row>
    <row r="13" spans="1:6" ht="24" customHeight="1" x14ac:dyDescent="0.2">
      <c r="B13" s="13" t="s">
        <v>90</v>
      </c>
      <c r="C13" s="23">
        <v>2.9000000000000001E-2</v>
      </c>
      <c r="E13" s="13" t="s">
        <v>91</v>
      </c>
      <c r="F13" s="18">
        <f>IF(C16=0,0,C15/C16)</f>
        <v>138.88888888888889</v>
      </c>
    </row>
    <row r="14" spans="1:6" ht="24" customHeight="1" x14ac:dyDescent="0.2">
      <c r="B14" s="13" t="s">
        <v>92</v>
      </c>
      <c r="C14" s="14">
        <v>5</v>
      </c>
      <c r="E14" s="13" t="s">
        <v>93</v>
      </c>
      <c r="F14" s="18">
        <f>F11-F13</f>
        <v>10.951911111111116</v>
      </c>
    </row>
    <row r="15" spans="1:6" ht="24" customHeight="1" x14ac:dyDescent="0.2">
      <c r="B15" s="13" t="s">
        <v>94</v>
      </c>
      <c r="C15" s="14">
        <v>25000</v>
      </c>
      <c r="E15" s="24" t="s">
        <v>95</v>
      </c>
      <c r="F15" s="25">
        <f>IF(F5=0,0,F14/F5)</f>
        <v>4.2155162090496981E-2</v>
      </c>
    </row>
    <row r="16" spans="1:6" ht="24" customHeight="1" x14ac:dyDescent="0.2">
      <c r="B16" s="13" t="s">
        <v>96</v>
      </c>
      <c r="C16" s="22">
        <v>180</v>
      </c>
      <c r="E16" s="13" t="s">
        <v>97</v>
      </c>
      <c r="F16" s="16">
        <f>(C16*C9*C10/60)/C11</f>
        <v>90</v>
      </c>
    </row>
    <row r="18" spans="2:6" ht="20" customHeight="1" x14ac:dyDescent="0.2">
      <c r="B18" s="54" t="s">
        <v>98</v>
      </c>
      <c r="C18" s="37"/>
      <c r="D18" s="37"/>
      <c r="E18" s="37"/>
      <c r="F18" s="37"/>
    </row>
    <row r="19" spans="2:6" ht="20" customHeight="1" x14ac:dyDescent="0.2">
      <c r="B19" s="53" t="s">
        <v>99</v>
      </c>
      <c r="C19" s="42"/>
      <c r="D19" s="42"/>
      <c r="E19" s="42"/>
      <c r="F19" s="43"/>
    </row>
    <row r="20" spans="2:6" ht="20" customHeight="1" x14ac:dyDescent="0.2">
      <c r="B20" s="44"/>
      <c r="C20" s="37"/>
      <c r="D20" s="37"/>
      <c r="E20" s="37"/>
      <c r="F20" s="45"/>
    </row>
    <row r="21" spans="2:6" ht="20" customHeight="1" x14ac:dyDescent="0.2">
      <c r="B21" s="44"/>
      <c r="C21" s="37"/>
      <c r="D21" s="37"/>
      <c r="E21" s="37"/>
      <c r="F21" s="45"/>
    </row>
    <row r="22" spans="2:6" ht="20" customHeight="1" x14ac:dyDescent="0.2">
      <c r="B22" s="46"/>
      <c r="C22" s="47"/>
      <c r="D22" s="47"/>
      <c r="E22" s="47"/>
      <c r="F22" s="48"/>
    </row>
  </sheetData>
  <mergeCells count="6">
    <mergeCell ref="A2:F2"/>
    <mergeCell ref="E4:F4"/>
    <mergeCell ref="A1:F1"/>
    <mergeCell ref="B18:F18"/>
    <mergeCell ref="B19:F22"/>
    <mergeCell ref="B4:C4"/>
  </mergeCells>
  <conditionalFormatting sqref="F15">
    <cfRule type="cellIs" dxfId="8" priority="1" operator="greaterThanOrEqual">
      <formula>0.15</formula>
    </cfRule>
    <cfRule type="cellIs" dxfId="7" priority="2" operator="between">
      <formula>0.1</formula>
      <formula>0.15</formula>
    </cfRule>
    <cfRule type="cellIs" dxfId="6" priority="3" operator="lessThan">
      <formula>0.1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workbookViewId="0">
      <selection activeCell="L10" sqref="L10"/>
    </sheetView>
  </sheetViews>
  <sheetFormatPr baseColWidth="10" defaultColWidth="8.83203125" defaultRowHeight="15" x14ac:dyDescent="0.2"/>
  <cols>
    <col min="1" max="1" width="3" customWidth="1"/>
    <col min="2" max="2" width="18" customWidth="1"/>
    <col min="3" max="8" width="14" customWidth="1"/>
    <col min="9" max="9" width="18" customWidth="1"/>
    <col min="10" max="10" width="28" customWidth="1"/>
    <col min="11" max="12" width="18" customWidth="1"/>
  </cols>
  <sheetData>
    <row r="1" spans="1:12" ht="28" customHeight="1" x14ac:dyDescent="0.2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x14ac:dyDescent="0.2">
      <c r="A2" s="52" t="s">
        <v>101</v>
      </c>
      <c r="B2" s="37"/>
      <c r="C2" s="37"/>
      <c r="D2" s="37"/>
      <c r="E2" s="37"/>
      <c r="F2" s="37"/>
      <c r="G2" s="37"/>
      <c r="H2" s="37"/>
      <c r="I2" s="37"/>
      <c r="J2" s="37"/>
    </row>
    <row r="4" spans="1:12" ht="16" x14ac:dyDescent="0.2">
      <c r="B4" s="54" t="s">
        <v>102</v>
      </c>
      <c r="C4" s="37"/>
      <c r="D4" s="37"/>
    </row>
    <row r="5" spans="1:12" ht="48" x14ac:dyDescent="0.2">
      <c r="B5" s="13" t="s">
        <v>103</v>
      </c>
      <c r="C5" s="21">
        <v>4.33</v>
      </c>
      <c r="E5" s="13" t="s">
        <v>64</v>
      </c>
      <c r="F5" s="14">
        <v>25000</v>
      </c>
      <c r="H5" s="13" t="s">
        <v>104</v>
      </c>
      <c r="I5" s="18">
        <f>IF(F6=0,0,F5/F6)</f>
        <v>125</v>
      </c>
    </row>
    <row r="6" spans="1:12" ht="64" x14ac:dyDescent="0.2">
      <c r="B6" s="13" t="s">
        <v>105</v>
      </c>
      <c r="C6" s="23">
        <v>2.9000000000000001E-2</v>
      </c>
      <c r="E6" s="13" t="s">
        <v>106</v>
      </c>
      <c r="F6" s="22">
        <v>200</v>
      </c>
    </row>
    <row r="9" spans="1:12" ht="32" x14ac:dyDescent="0.2">
      <c r="B9" s="7" t="s">
        <v>107</v>
      </c>
      <c r="C9" s="7" t="s">
        <v>108</v>
      </c>
      <c r="D9" s="7" t="s">
        <v>109</v>
      </c>
      <c r="E9" s="7" t="s">
        <v>110</v>
      </c>
      <c r="F9" s="7" t="s">
        <v>111</v>
      </c>
      <c r="G9" s="7" t="s">
        <v>112</v>
      </c>
      <c r="H9" s="7" t="s">
        <v>113</v>
      </c>
      <c r="I9" s="7" t="s">
        <v>114</v>
      </c>
      <c r="J9" s="7" t="s">
        <v>115</v>
      </c>
      <c r="K9" s="7" t="s">
        <v>116</v>
      </c>
      <c r="L9" s="7" t="s">
        <v>117</v>
      </c>
    </row>
    <row r="10" spans="1:12" ht="16" x14ac:dyDescent="0.2">
      <c r="B10" s="26" t="s">
        <v>118</v>
      </c>
      <c r="C10" s="22">
        <v>2</v>
      </c>
      <c r="D10" s="22">
        <v>60</v>
      </c>
      <c r="E10" s="22">
        <v>8</v>
      </c>
      <c r="F10" s="14">
        <v>45</v>
      </c>
      <c r="G10" s="14">
        <v>6</v>
      </c>
      <c r="H10" s="23">
        <v>0.2</v>
      </c>
      <c r="I10" s="18">
        <f>((C10*D10*$C$5/60)/E10)*F10</f>
        <v>48.712499999999999</v>
      </c>
      <c r="J10" s="18">
        <f>I10+G10+$I$5</f>
        <v>179.71250000000001</v>
      </c>
      <c r="K10" s="27">
        <f>IF((1-$C$6-H10)&lt;=0,"Check %",J10/(1-$C$6-H10))</f>
        <v>233.09014267185478</v>
      </c>
      <c r="L10" s="35">
        <f>K10/$C$5</f>
        <v>53.831441725601564</v>
      </c>
    </row>
    <row r="11" spans="1:12" ht="16" x14ac:dyDescent="0.2">
      <c r="B11" s="26" t="s">
        <v>119</v>
      </c>
      <c r="C11" s="22">
        <v>3</v>
      </c>
      <c r="D11" s="22">
        <v>60</v>
      </c>
      <c r="E11" s="22">
        <v>8</v>
      </c>
      <c r="F11" s="14">
        <v>45</v>
      </c>
      <c r="G11" s="14">
        <v>6</v>
      </c>
      <c r="H11" s="23">
        <v>0.2</v>
      </c>
      <c r="I11" s="18">
        <f>((C11*D11*$C$5/60)/E11)*F11</f>
        <v>73.068749999999994</v>
      </c>
      <c r="J11" s="18">
        <f>I11+G11+$I$5</f>
        <v>204.06874999999999</v>
      </c>
      <c r="K11" s="27">
        <f>IF((1-$C$6-H11)&lt;=0,"Check %",J11/(1-$C$6-H11))</f>
        <v>264.68060959792479</v>
      </c>
      <c r="L11" s="35">
        <f>K11/$C$5</f>
        <v>61.127161569959533</v>
      </c>
    </row>
    <row r="12" spans="1:12" ht="16" x14ac:dyDescent="0.2">
      <c r="B12" s="26" t="s">
        <v>120</v>
      </c>
      <c r="C12" s="22">
        <v>2</v>
      </c>
      <c r="D12" s="22">
        <v>60</v>
      </c>
      <c r="E12" s="22">
        <v>1</v>
      </c>
      <c r="F12" s="14">
        <v>45</v>
      </c>
      <c r="G12" s="14">
        <v>10</v>
      </c>
      <c r="H12" s="23">
        <v>0.25</v>
      </c>
      <c r="I12" s="18">
        <f>((C12*D12*$C$5/60)/E12)*F12</f>
        <v>389.7</v>
      </c>
      <c r="J12" s="18">
        <f>I12+G12+$I$5</f>
        <v>524.70000000000005</v>
      </c>
      <c r="K12" s="27">
        <f>IF((1-$C$6-H12)&lt;=0,"Check %",J12/(1-$C$6-H12))</f>
        <v>727.73925104022203</v>
      </c>
      <c r="L12" s="35">
        <f>K12/$C$5</f>
        <v>168.0691110947395</v>
      </c>
    </row>
    <row r="14" spans="1:12" ht="16" x14ac:dyDescent="0.2">
      <c r="B14" s="54" t="s">
        <v>121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12" x14ac:dyDescent="0.2">
      <c r="B15" s="53" t="s">
        <v>122</v>
      </c>
      <c r="C15" s="42"/>
      <c r="D15" s="42"/>
      <c r="E15" s="42"/>
      <c r="F15" s="42"/>
      <c r="G15" s="42"/>
      <c r="H15" s="42"/>
      <c r="I15" s="42"/>
      <c r="J15" s="42"/>
      <c r="K15" s="43"/>
    </row>
    <row r="16" spans="1:12" x14ac:dyDescent="0.2">
      <c r="B16" s="44"/>
      <c r="C16" s="37"/>
      <c r="D16" s="37"/>
      <c r="E16" s="37"/>
      <c r="F16" s="37"/>
      <c r="G16" s="37"/>
      <c r="H16" s="37"/>
      <c r="I16" s="37"/>
      <c r="J16" s="37"/>
      <c r="K16" s="45"/>
    </row>
    <row r="17" spans="2:11" x14ac:dyDescent="0.2">
      <c r="B17" s="46"/>
      <c r="C17" s="47"/>
      <c r="D17" s="47"/>
      <c r="E17" s="47"/>
      <c r="F17" s="47"/>
      <c r="G17" s="47"/>
      <c r="H17" s="47"/>
      <c r="I17" s="47"/>
      <c r="J17" s="47"/>
      <c r="K17" s="48"/>
    </row>
  </sheetData>
  <mergeCells count="5">
    <mergeCell ref="A1:J1"/>
    <mergeCell ref="B14:K14"/>
    <mergeCell ref="A2:J2"/>
    <mergeCell ref="B4:D4"/>
    <mergeCell ref="B15:K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showGridLines="0" workbookViewId="0">
      <selection activeCell="J17" sqref="J17"/>
    </sheetView>
  </sheetViews>
  <sheetFormatPr baseColWidth="10" defaultColWidth="8.83203125" defaultRowHeight="15" x14ac:dyDescent="0.2"/>
  <cols>
    <col min="1" max="1" width="3" customWidth="1"/>
    <col min="2" max="2" width="55" customWidth="1"/>
    <col min="3" max="3" width="14" customWidth="1"/>
    <col min="4" max="4" width="40" customWidth="1"/>
  </cols>
  <sheetData>
    <row r="1" spans="1:4" ht="28" customHeight="1" x14ac:dyDescent="0.2">
      <c r="A1" s="36" t="s">
        <v>123</v>
      </c>
      <c r="B1" s="37"/>
      <c r="C1" s="37"/>
      <c r="D1" s="37"/>
    </row>
    <row r="2" spans="1:4" x14ac:dyDescent="0.2">
      <c r="A2" s="52" t="s">
        <v>124</v>
      </c>
      <c r="B2" s="37"/>
      <c r="C2" s="37"/>
      <c r="D2" s="37"/>
    </row>
    <row r="4" spans="1:4" ht="16" x14ac:dyDescent="0.2">
      <c r="B4" s="7" t="s">
        <v>125</v>
      </c>
      <c r="C4" s="7" t="s">
        <v>126</v>
      </c>
      <c r="D4" s="7" t="s">
        <v>127</v>
      </c>
    </row>
    <row r="5" spans="1:4" ht="26" x14ac:dyDescent="0.2">
      <c r="B5" s="8" t="s">
        <v>128</v>
      </c>
      <c r="C5" s="28" t="s">
        <v>129</v>
      </c>
      <c r="D5" s="29" t="s">
        <v>130</v>
      </c>
    </row>
    <row r="6" spans="1:4" ht="32" x14ac:dyDescent="0.2">
      <c r="B6" s="8" t="s">
        <v>131</v>
      </c>
      <c r="C6" s="28" t="s">
        <v>129</v>
      </c>
      <c r="D6" s="29" t="s">
        <v>132</v>
      </c>
    </row>
    <row r="7" spans="1:4" ht="16" x14ac:dyDescent="0.2">
      <c r="B7" s="8" t="s">
        <v>133</v>
      </c>
      <c r="C7" s="28" t="s">
        <v>129</v>
      </c>
      <c r="D7" s="29" t="s">
        <v>134</v>
      </c>
    </row>
    <row r="8" spans="1:4" ht="26" x14ac:dyDescent="0.2">
      <c r="B8" s="8" t="s">
        <v>135</v>
      </c>
      <c r="C8" s="28" t="s">
        <v>129</v>
      </c>
      <c r="D8" s="29" t="s">
        <v>136</v>
      </c>
    </row>
    <row r="9" spans="1:4" ht="16" x14ac:dyDescent="0.2">
      <c r="B9" s="8" t="s">
        <v>137</v>
      </c>
      <c r="C9" s="28" t="s">
        <v>129</v>
      </c>
      <c r="D9" s="29" t="s">
        <v>138</v>
      </c>
    </row>
    <row r="10" spans="1:4" ht="16" x14ac:dyDescent="0.2">
      <c r="B10" s="8" t="s">
        <v>139</v>
      </c>
      <c r="C10" s="28" t="s">
        <v>129</v>
      </c>
      <c r="D10" s="29" t="s">
        <v>140</v>
      </c>
    </row>
    <row r="11" spans="1:4" ht="16" x14ac:dyDescent="0.2">
      <c r="B11" s="8" t="s">
        <v>141</v>
      </c>
      <c r="C11" s="28" t="s">
        <v>129</v>
      </c>
      <c r="D11" s="29" t="s">
        <v>142</v>
      </c>
    </row>
    <row r="14" spans="1:4" ht="17" x14ac:dyDescent="0.2">
      <c r="B14" s="6" t="s">
        <v>143</v>
      </c>
      <c r="C14" s="30">
        <f>COUNTIF(C5:C11,"Yes")</f>
        <v>7</v>
      </c>
      <c r="D14" s="31" t="str">
        <f>IF(C14&gt;=6,"Likely profitable ✅",IF(C14&gt;=4,"Needs tweaks ⚠️","High risk 🚨"))</f>
        <v>Likely profitable ✅</v>
      </c>
    </row>
  </sheetData>
  <mergeCells count="2">
    <mergeCell ref="A1:D1"/>
    <mergeCell ref="A2:D2"/>
  </mergeCells>
  <conditionalFormatting sqref="D14">
    <cfRule type="cellIs" dxfId="5" priority="1" operator="greaterThanOrEqual">
      <formula>6</formula>
    </cfRule>
    <cfRule type="cellIs" dxfId="4" priority="2" operator="between">
      <formula>4</formula>
      <formula>5</formula>
    </cfRule>
    <cfRule type="cellIs" dxfId="3" priority="3" operator="lessThan">
      <formula>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showGridLines="0" workbookViewId="0">
      <selection activeCell="F23" sqref="F23"/>
    </sheetView>
  </sheetViews>
  <sheetFormatPr baseColWidth="10" defaultColWidth="8.83203125" defaultRowHeight="15" x14ac:dyDescent="0.2"/>
  <cols>
    <col min="1" max="1" width="3" customWidth="1"/>
    <col min="2" max="2" width="36" customWidth="1"/>
    <col min="3" max="3" width="20" customWidth="1"/>
    <col min="4" max="4" width="30" customWidth="1"/>
    <col min="5" max="5" width="40" customWidth="1"/>
  </cols>
  <sheetData>
    <row r="1" spans="1:5" ht="28" customHeight="1" x14ac:dyDescent="0.2">
      <c r="A1" s="36" t="s">
        <v>144</v>
      </c>
      <c r="B1" s="37"/>
      <c r="C1" s="37"/>
      <c r="D1" s="37"/>
      <c r="E1" s="37"/>
    </row>
    <row r="2" spans="1:5" x14ac:dyDescent="0.2">
      <c r="A2" s="52" t="s">
        <v>145</v>
      </c>
      <c r="B2" s="37"/>
      <c r="C2" s="37"/>
      <c r="D2" s="37"/>
      <c r="E2" s="37"/>
    </row>
    <row r="4" spans="1:5" ht="16" x14ac:dyDescent="0.2">
      <c r="B4" s="54" t="s">
        <v>146</v>
      </c>
      <c r="C4" s="37"/>
      <c r="D4" s="54" t="s">
        <v>55</v>
      </c>
      <c r="E4" s="37"/>
    </row>
    <row r="5" spans="1:5" ht="16" x14ac:dyDescent="0.2">
      <c r="B5" s="13" t="s">
        <v>147</v>
      </c>
      <c r="C5" s="14">
        <v>25000</v>
      </c>
      <c r="D5" s="13" t="s">
        <v>148</v>
      </c>
      <c r="E5" s="18">
        <f>C5*C7</f>
        <v>75000</v>
      </c>
    </row>
    <row r="6" spans="1:5" ht="16" x14ac:dyDescent="0.2">
      <c r="B6" s="13" t="s">
        <v>65</v>
      </c>
      <c r="C6" s="14">
        <v>40000</v>
      </c>
      <c r="D6" s="13" t="s">
        <v>149</v>
      </c>
      <c r="E6" s="18">
        <f>MAX(0,E5-C6)</f>
        <v>35000</v>
      </c>
    </row>
    <row r="7" spans="1:5" ht="16" x14ac:dyDescent="0.2">
      <c r="B7" s="13" t="s">
        <v>150</v>
      </c>
      <c r="C7" s="22">
        <v>3</v>
      </c>
      <c r="D7" s="13" t="s">
        <v>151</v>
      </c>
      <c r="E7" s="18">
        <f>IF(C8=0,0,MAX(0,(C5*C7)-C6)/C8)</f>
        <v>1346.1538461538462</v>
      </c>
    </row>
    <row r="8" spans="1:5" ht="16" x14ac:dyDescent="0.2">
      <c r="B8" s="13" t="s">
        <v>152</v>
      </c>
      <c r="C8" s="22">
        <v>26</v>
      </c>
      <c r="D8" s="13" t="s">
        <v>153</v>
      </c>
      <c r="E8" s="16">
        <f>IF(C5=0,0,C6/C5)</f>
        <v>1.6</v>
      </c>
    </row>
    <row r="9" spans="1:5" ht="16" x14ac:dyDescent="0.2">
      <c r="B9" s="13" t="s">
        <v>154</v>
      </c>
      <c r="C9" s="14">
        <v>8000</v>
      </c>
      <c r="D9" s="13" t="s">
        <v>155</v>
      </c>
      <c r="E9" s="18">
        <f>MAX(0,C9-C10)</f>
        <v>4000</v>
      </c>
    </row>
    <row r="10" spans="1:5" ht="16" x14ac:dyDescent="0.2">
      <c r="B10" s="13" t="s">
        <v>156</v>
      </c>
      <c r="C10" s="14">
        <v>4000</v>
      </c>
    </row>
    <row r="12" spans="1:5" ht="16" x14ac:dyDescent="0.2">
      <c r="B12" s="54" t="s">
        <v>157</v>
      </c>
      <c r="C12" s="37"/>
      <c r="D12" s="37"/>
      <c r="E12" s="37"/>
    </row>
    <row r="13" spans="1:5" x14ac:dyDescent="0.2">
      <c r="B13" s="53" t="s">
        <v>158</v>
      </c>
      <c r="C13" s="42"/>
      <c r="D13" s="42"/>
      <c r="E13" s="43"/>
    </row>
    <row r="14" spans="1:5" x14ac:dyDescent="0.2">
      <c r="B14" s="44"/>
      <c r="C14" s="37"/>
      <c r="D14" s="37"/>
      <c r="E14" s="45"/>
    </row>
    <row r="15" spans="1:5" x14ac:dyDescent="0.2">
      <c r="B15" s="44"/>
      <c r="C15" s="37"/>
      <c r="D15" s="37"/>
      <c r="E15" s="45"/>
    </row>
    <row r="16" spans="1:5" x14ac:dyDescent="0.2">
      <c r="B16" s="44"/>
      <c r="C16" s="37"/>
      <c r="D16" s="37"/>
      <c r="E16" s="45"/>
    </row>
    <row r="17" spans="2:5" x14ac:dyDescent="0.2">
      <c r="B17" s="44"/>
      <c r="C17" s="37"/>
      <c r="D17" s="37"/>
      <c r="E17" s="45"/>
    </row>
    <row r="18" spans="2:5" x14ac:dyDescent="0.2">
      <c r="B18" s="46"/>
      <c r="C18" s="47"/>
      <c r="D18" s="47"/>
      <c r="E18" s="48"/>
    </row>
    <row r="20" spans="2:5" ht="16" x14ac:dyDescent="0.2">
      <c r="B20" s="12" t="s">
        <v>159</v>
      </c>
    </row>
    <row r="21" spans="2:5" ht="36" customHeight="1" x14ac:dyDescent="0.2">
      <c r="B21" s="53" t="s">
        <v>160</v>
      </c>
      <c r="C21" s="50"/>
      <c r="D21" s="50"/>
      <c r="E21" s="51"/>
    </row>
    <row r="23" spans="2:5" ht="16" x14ac:dyDescent="0.2">
      <c r="B23" s="54" t="s">
        <v>146</v>
      </c>
      <c r="C23" s="37"/>
      <c r="D23" s="54" t="s">
        <v>55</v>
      </c>
      <c r="E23" s="37"/>
    </row>
    <row r="24" spans="2:5" ht="30" customHeight="1" x14ac:dyDescent="0.2">
      <c r="B24" s="13" t="s">
        <v>161</v>
      </c>
      <c r="C24" s="22">
        <v>180</v>
      </c>
      <c r="D24" s="34" t="s">
        <v>162</v>
      </c>
      <c r="E24" s="18">
        <f>((C25-C26)*52)/12</f>
        <v>238.33333333333334</v>
      </c>
    </row>
    <row r="25" spans="2:5" ht="30" customHeight="1" x14ac:dyDescent="0.2">
      <c r="B25" s="13" t="s">
        <v>163</v>
      </c>
      <c r="C25" s="14">
        <v>60</v>
      </c>
      <c r="D25" s="34" t="s">
        <v>164</v>
      </c>
      <c r="E25" s="32">
        <f>IF(E24&lt;=0,"",ROUNDUP($E$9/E24,0))</f>
        <v>17</v>
      </c>
    </row>
    <row r="26" spans="2:5" ht="30" customHeight="1" x14ac:dyDescent="0.2">
      <c r="B26" s="13" t="s">
        <v>165</v>
      </c>
      <c r="C26" s="14">
        <v>5</v>
      </c>
      <c r="D26" s="34" t="s">
        <v>166</v>
      </c>
      <c r="E26" s="33">
        <f>IF(C24=0,"",(($E$9*12)/52)/C24)</f>
        <v>5.1282051282051286</v>
      </c>
    </row>
    <row r="27" spans="2:5" ht="30" customHeight="1" x14ac:dyDescent="0.2">
      <c r="D27" s="34" t="s">
        <v>167</v>
      </c>
      <c r="E27" s="33">
        <f>C25+E26</f>
        <v>65.128205128205124</v>
      </c>
    </row>
    <row r="28" spans="2:5" ht="30" customHeight="1" x14ac:dyDescent="0.2">
      <c r="B28" s="53" t="s">
        <v>168</v>
      </c>
      <c r="C28" s="50"/>
      <c r="D28" s="50"/>
      <c r="E28" s="51"/>
    </row>
  </sheetData>
  <mergeCells count="10">
    <mergeCell ref="A1:E1"/>
    <mergeCell ref="D4:E4"/>
    <mergeCell ref="B28:E28"/>
    <mergeCell ref="B4:C4"/>
    <mergeCell ref="A2:E2"/>
    <mergeCell ref="B12:E12"/>
    <mergeCell ref="B13:E18"/>
    <mergeCell ref="B21:E21"/>
    <mergeCell ref="D23:E23"/>
    <mergeCell ref="B23:C23"/>
  </mergeCells>
  <conditionalFormatting sqref="E8">
    <cfRule type="cellIs" dxfId="2" priority="1" operator="greaterThanOrEqual">
      <formula>3</formula>
    </cfRule>
    <cfRule type="cellIs" dxfId="1" priority="2" operator="between">
      <formula>1</formula>
      <formula>3</formula>
    </cfRule>
    <cfRule type="cellIs" dxfId="0" priority="3" operator="less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Benchmarks</vt:lpstr>
      <vt:lpstr>Weekly Dashboard</vt:lpstr>
      <vt:lpstr>Pricing Calculator</vt:lpstr>
      <vt:lpstr>Offer Builder</vt:lpstr>
      <vt:lpstr>Package Profit Check</vt:lpstr>
      <vt:lpstr>Cash Buffer &amp; Owner 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Manion</cp:lastModifiedBy>
  <dcterms:created xsi:type="dcterms:W3CDTF">2026-02-03T05:59:21Z</dcterms:created>
  <dcterms:modified xsi:type="dcterms:W3CDTF">2026-02-04T02:11:30Z</dcterms:modified>
</cp:coreProperties>
</file>